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<sst xmlns="http://schemas.openxmlformats.org/spreadsheetml/2006/main" count="123" uniqueCount="117">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</sst>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52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92"/>
      <c r="R1" s="93"/>
    </row>
    <row r="2" spans="2:18" s="1" customFormat="1" ht="15.75" customHeight="1">
      <c r="B2" s="153"/>
      <c r="C2" s="153"/>
      <c r="D2" s="1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54"/>
      <c r="B3" s="156"/>
      <c r="C3" s="157" t="s">
        <v>0</v>
      </c>
      <c r="D3" s="158" t="s">
        <v>112</v>
      </c>
      <c r="E3" s="34"/>
      <c r="F3" s="159" t="s">
        <v>26</v>
      </c>
      <c r="G3" s="160"/>
      <c r="H3" s="160"/>
      <c r="I3" s="160"/>
      <c r="J3" s="161"/>
      <c r="K3" s="89"/>
      <c r="L3" s="89"/>
      <c r="M3" s="162" t="s">
        <v>108</v>
      </c>
      <c r="N3" s="165" t="s">
        <v>66</v>
      </c>
      <c r="O3" s="165"/>
      <c r="P3" s="165"/>
      <c r="Q3" s="165"/>
      <c r="R3" s="165"/>
    </row>
    <row r="4" spans="1:18" ht="22.5" customHeight="1">
      <c r="A4" s="154"/>
      <c r="B4" s="156"/>
      <c r="C4" s="157"/>
      <c r="D4" s="158"/>
      <c r="E4" s="166" t="s">
        <v>105</v>
      </c>
      <c r="F4" s="168" t="s">
        <v>34</v>
      </c>
      <c r="G4" s="170" t="s">
        <v>110</v>
      </c>
      <c r="H4" s="163" t="s">
        <v>111</v>
      </c>
      <c r="I4" s="170" t="s">
        <v>106</v>
      </c>
      <c r="J4" s="163" t="s">
        <v>107</v>
      </c>
      <c r="K4" s="91" t="s">
        <v>65</v>
      </c>
      <c r="L4" s="96" t="s">
        <v>64</v>
      </c>
      <c r="M4" s="163"/>
      <c r="N4" s="179" t="s">
        <v>104</v>
      </c>
      <c r="O4" s="170" t="s">
        <v>50</v>
      </c>
      <c r="P4" s="174" t="s">
        <v>49</v>
      </c>
      <c r="Q4" s="97" t="s">
        <v>65</v>
      </c>
      <c r="R4" s="98" t="s">
        <v>64</v>
      </c>
    </row>
    <row r="5" spans="1:18" ht="92.25" customHeight="1">
      <c r="A5" s="155"/>
      <c r="B5" s="156"/>
      <c r="C5" s="157"/>
      <c r="D5" s="158"/>
      <c r="E5" s="167"/>
      <c r="F5" s="169"/>
      <c r="G5" s="171"/>
      <c r="H5" s="164"/>
      <c r="I5" s="171"/>
      <c r="J5" s="164"/>
      <c r="K5" s="172" t="s">
        <v>109</v>
      </c>
      <c r="L5" s="173"/>
      <c r="M5" s="164"/>
      <c r="N5" s="180"/>
      <c r="O5" s="171"/>
      <c r="P5" s="174"/>
      <c r="Q5" s="172" t="s">
        <v>67</v>
      </c>
      <c r="R5" s="17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155316.4</v>
      </c>
      <c r="E8" s="15">
        <f>E9+E15+E18+E19+E20+E32+E17</f>
        <v>52015.7</v>
      </c>
      <c r="F8" s="15">
        <f>F9+F15+F18+F19+F20+F32+F17+F42</f>
        <v>20813.730000000003</v>
      </c>
      <c r="G8" s="15">
        <f aca="true" t="shared" si="0" ref="G8:G15">F8-E8</f>
        <v>-31201.969999999994</v>
      </c>
      <c r="H8" s="38">
        <f>F8/E8*100</f>
        <v>40.01432259875385</v>
      </c>
      <c r="I8" s="28">
        <f>F8-D8</f>
        <v>-134502.66999999998</v>
      </c>
      <c r="J8" s="28">
        <f>F8/D8*100</f>
        <v>13.400857861758322</v>
      </c>
      <c r="K8" s="15">
        <f>K9+K15+K18+K19+K20+K32</f>
        <v>-16901.44</v>
      </c>
      <c r="L8" s="15"/>
      <c r="M8" s="15">
        <f>M9+M15+M18+M19+M20+M32+M17</f>
        <v>52015.7</v>
      </c>
      <c r="N8" s="15">
        <f>N9+N15+N18+N19+N20+N32+N17</f>
        <v>20812.870000000003</v>
      </c>
      <c r="O8" s="15">
        <f>N8-M8</f>
        <v>-31202.829999999994</v>
      </c>
      <c r="P8" s="15">
        <f>N8/M8*100</f>
        <v>40.012669251783606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78710</v>
      </c>
      <c r="E9" s="33">
        <v>26780</v>
      </c>
      <c r="F9" s="117">
        <v>11835.12</v>
      </c>
      <c r="G9" s="36">
        <f t="shared" si="0"/>
        <v>-14944.88</v>
      </c>
      <c r="H9" s="32">
        <f>F9/E9*100</f>
        <v>44.19387602688574</v>
      </c>
      <c r="I9" s="42">
        <f>F9-D9</f>
        <v>-66874.88</v>
      </c>
      <c r="J9" s="42">
        <f>F9/D9*100</f>
        <v>15.036361326388006</v>
      </c>
      <c r="K9" s="106">
        <f>F9-23209.38</f>
        <v>-11374.26</v>
      </c>
      <c r="L9" s="106">
        <f>F9/23209.38*100</f>
        <v>50.99283134663658</v>
      </c>
      <c r="M9" s="32">
        <f>E9</f>
        <v>26780</v>
      </c>
      <c r="N9" s="32">
        <f>F9</f>
        <v>11835.12</v>
      </c>
      <c r="O9" s="40">
        <f>N9-M9</f>
        <v>-14944.88</v>
      </c>
      <c r="P9" s="42">
        <f>N9/M9*100</f>
        <v>44.19387602688574</v>
      </c>
      <c r="Q9" s="106">
        <f>N9-26568.11</f>
        <v>-14732.99</v>
      </c>
      <c r="R9" s="107">
        <f>N9/26568.11</f>
        <v>0.44546337695831584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70800</v>
      </c>
      <c r="E10" s="109">
        <v>23800</v>
      </c>
      <c r="F10" s="118">
        <v>10681.71</v>
      </c>
      <c r="G10" s="109">
        <f t="shared" si="0"/>
        <v>-13118.29</v>
      </c>
      <c r="H10" s="32">
        <f aca="true" t="shared" si="1" ref="H10:H32">F10/E10*100</f>
        <v>44.881134453781506</v>
      </c>
      <c r="I10" s="42">
        <f aca="true" t="shared" si="2" ref="I10:I32">F10-D10</f>
        <v>-60118.29</v>
      </c>
      <c r="J10" s="42">
        <f aca="true" t="shared" si="3" ref="J10:J32">F10/D10*100</f>
        <v>15.087161016949151</v>
      </c>
      <c r="K10" s="112">
        <f>F10-310040.1/75*60</f>
        <v>-237350.36999999997</v>
      </c>
      <c r="L10" s="112">
        <f>F10/(310040.1/75*60)*100</f>
        <v>4.3065840515468805</v>
      </c>
      <c r="M10" s="111">
        <f aca="true" t="shared" si="4" ref="M10:M15">E10</f>
        <v>23800</v>
      </c>
      <c r="N10" s="111">
        <f aca="true" t="shared" si="5" ref="N10:N32">F10</f>
        <v>10681.71</v>
      </c>
      <c r="O10" s="40">
        <f aca="true" t="shared" si="6" ref="O10:O32">N10-M10</f>
        <v>-13118.29</v>
      </c>
      <c r="P10" s="42">
        <f aca="true" t="shared" si="7" ref="P10:P32">N10/M10*100</f>
        <v>44.881134453781506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334.7</v>
      </c>
      <c r="G11" s="109">
        <f t="shared" si="0"/>
        <v>-1165.3</v>
      </c>
      <c r="H11" s="32">
        <f t="shared" si="1"/>
        <v>22.313333333333333</v>
      </c>
      <c r="I11" s="42">
        <f t="shared" si="2"/>
        <v>-3865.3</v>
      </c>
      <c r="J11" s="42">
        <f t="shared" si="3"/>
        <v>7.969047619047618</v>
      </c>
      <c r="K11" s="112">
        <f>F11-24192.03/75*60</f>
        <v>-19018.923999999995</v>
      </c>
      <c r="L11" s="112">
        <f>F11/(24192.03/75*60)*100</f>
        <v>1.7293918699670927</v>
      </c>
      <c r="M11" s="111">
        <f t="shared" si="4"/>
        <v>1500</v>
      </c>
      <c r="N11" s="111">
        <f t="shared" si="5"/>
        <v>334.7</v>
      </c>
      <c r="O11" s="40">
        <f t="shared" si="6"/>
        <v>-1165.3</v>
      </c>
      <c r="P11" s="42">
        <f t="shared" si="7"/>
        <v>22.313333333333333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126.45</v>
      </c>
      <c r="G12" s="109">
        <f t="shared" si="0"/>
        <v>-523.55</v>
      </c>
      <c r="H12" s="32">
        <f t="shared" si="1"/>
        <v>19.453846153846154</v>
      </c>
      <c r="I12" s="42">
        <f t="shared" si="2"/>
        <v>-1093.55</v>
      </c>
      <c r="J12" s="42">
        <f t="shared" si="3"/>
        <v>10.364754098360656</v>
      </c>
      <c r="K12" s="112">
        <f>F12-6123.95/75*60</f>
        <v>-4772.71</v>
      </c>
      <c r="L12" s="112">
        <f>F12/(6123.95*60)*100</f>
        <v>0.03441406281893223</v>
      </c>
      <c r="M12" s="111">
        <f t="shared" si="4"/>
        <v>650</v>
      </c>
      <c r="N12" s="111">
        <f t="shared" si="5"/>
        <v>126.45</v>
      </c>
      <c r="O12" s="40">
        <f t="shared" si="6"/>
        <v>-523.55</v>
      </c>
      <c r="P12" s="42">
        <f t="shared" si="7"/>
        <v>19.453846153846154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52.12</v>
      </c>
      <c r="G13" s="109">
        <f t="shared" si="0"/>
        <v>-177.88</v>
      </c>
      <c r="H13" s="32">
        <f t="shared" si="1"/>
        <v>22.66086956521739</v>
      </c>
      <c r="I13" s="42">
        <f t="shared" si="2"/>
        <v>-637.88</v>
      </c>
      <c r="J13" s="42">
        <f t="shared" si="3"/>
        <v>7.553623188405796</v>
      </c>
      <c r="K13" s="112">
        <f>F13-8694.58/75*60</f>
        <v>-6903.544</v>
      </c>
      <c r="L13" s="112">
        <f>F13/(8694.58/75*60)*100</f>
        <v>0.7493173908342898</v>
      </c>
      <c r="M13" s="111">
        <f t="shared" si="4"/>
        <v>230</v>
      </c>
      <c r="N13" s="111">
        <f t="shared" si="5"/>
        <v>52.12</v>
      </c>
      <c r="O13" s="40">
        <f t="shared" si="6"/>
        <v>-177.88</v>
      </c>
      <c r="P13" s="42">
        <f t="shared" si="7"/>
        <v>22.66086956521739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0.99</v>
      </c>
      <c r="G14" s="109">
        <f t="shared" si="0"/>
        <v>-599.01</v>
      </c>
      <c r="H14" s="32">
        <f t="shared" si="1"/>
        <v>0.165</v>
      </c>
      <c r="I14" s="42">
        <f t="shared" si="2"/>
        <v>-1799.01</v>
      </c>
      <c r="J14" s="42">
        <f t="shared" si="3"/>
        <v>0.055</v>
      </c>
      <c r="K14" s="112">
        <f>F14-146.72/75*60</f>
        <v>-116.386</v>
      </c>
      <c r="L14" s="112">
        <f>F14/(146.72/75*60)*100</f>
        <v>0.8434432933478736</v>
      </c>
      <c r="M14" s="111">
        <f t="shared" si="4"/>
        <v>600</v>
      </c>
      <c r="N14" s="111">
        <f t="shared" si="5"/>
        <v>0.99</v>
      </c>
      <c r="O14" s="40">
        <f t="shared" si="6"/>
        <v>-599.01</v>
      </c>
      <c r="P14" s="42">
        <f t="shared" si="7"/>
        <v>0.165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248.69</v>
      </c>
      <c r="G19" s="36">
        <f t="shared" si="8"/>
        <v>-6751.31</v>
      </c>
      <c r="H19" s="32">
        <f t="shared" si="1"/>
        <v>3.5527142857142855</v>
      </c>
      <c r="I19" s="42">
        <f t="shared" si="2"/>
        <v>-20851.31</v>
      </c>
      <c r="J19" s="42">
        <f t="shared" si="3"/>
        <v>1.1786255924170617</v>
      </c>
      <c r="K19" s="133">
        <f>F19-0</f>
        <v>248.69</v>
      </c>
      <c r="L19" s="134"/>
      <c r="M19" s="32">
        <f t="shared" si="9"/>
        <v>7000</v>
      </c>
      <c r="N19" s="32">
        <f t="shared" si="5"/>
        <v>248.69</v>
      </c>
      <c r="O19" s="40">
        <f t="shared" si="6"/>
        <v>-6751.31</v>
      </c>
      <c r="P19" s="42">
        <f t="shared" si="7"/>
        <v>3.5527142857142855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8728.29</v>
      </c>
      <c r="G20" s="36">
        <f t="shared" si="8"/>
        <v>-9506.21</v>
      </c>
      <c r="H20" s="32">
        <f t="shared" si="1"/>
        <v>47.866900655351124</v>
      </c>
      <c r="I20" s="42">
        <f t="shared" si="2"/>
        <v>-44645.21</v>
      </c>
      <c r="J20" s="42">
        <f t="shared" si="3"/>
        <v>16.353227725369333</v>
      </c>
      <c r="K20" s="132">
        <f>K21+K25+K26+K27</f>
        <v>-6333.969999999999</v>
      </c>
      <c r="L20" s="110">
        <f>F20/15062.3*100</f>
        <v>57.94792295997292</v>
      </c>
      <c r="M20" s="32">
        <f t="shared" si="9"/>
        <v>18234.5</v>
      </c>
      <c r="N20" s="32">
        <f t="shared" si="5"/>
        <v>8728.29</v>
      </c>
      <c r="O20" s="40">
        <f t="shared" si="6"/>
        <v>-9506.21</v>
      </c>
      <c r="P20" s="42">
        <f t="shared" si="7"/>
        <v>47.866900655351124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1334.17</v>
      </c>
      <c r="G21" s="36">
        <f t="shared" si="8"/>
        <v>-8385.83</v>
      </c>
      <c r="H21" s="32">
        <f t="shared" si="1"/>
        <v>13.726028806584361</v>
      </c>
      <c r="I21" s="42">
        <f t="shared" si="2"/>
        <v>-31195.83</v>
      </c>
      <c r="J21" s="42">
        <f t="shared" si="3"/>
        <v>4.101352597602213</v>
      </c>
      <c r="K21" s="132">
        <f>K22+K23+K24</f>
        <v>-5248.51</v>
      </c>
      <c r="L21" s="110">
        <f>F21/6582.7*100</f>
        <v>20.267823233627542</v>
      </c>
      <c r="M21" s="32">
        <f t="shared" si="9"/>
        <v>9720</v>
      </c>
      <c r="N21" s="32">
        <f t="shared" si="5"/>
        <v>1334.17</v>
      </c>
      <c r="O21" s="40">
        <f t="shared" si="6"/>
        <v>-8385.83</v>
      </c>
      <c r="P21" s="42">
        <f t="shared" si="7"/>
        <v>13.726028806584361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384.96</v>
      </c>
      <c r="G22" s="109">
        <f>F22-E22</f>
        <v>134.95999999999998</v>
      </c>
      <c r="H22" s="111">
        <f t="shared" si="1"/>
        <v>153.98399999999998</v>
      </c>
      <c r="I22" s="110">
        <f t="shared" si="2"/>
        <v>-2915.04</v>
      </c>
      <c r="J22" s="110">
        <f t="shared" si="3"/>
        <v>11.665454545454546</v>
      </c>
      <c r="K22" s="110">
        <f>F22-84.67</f>
        <v>300.28999999999996</v>
      </c>
      <c r="L22" s="110">
        <f>F22/84.67*100</f>
        <v>454.65926538325266</v>
      </c>
      <c r="M22" s="111">
        <f t="shared" si="9"/>
        <v>250</v>
      </c>
      <c r="N22" s="111">
        <f t="shared" si="5"/>
        <v>384.96</v>
      </c>
      <c r="O22" s="112">
        <f t="shared" si="6"/>
        <v>134.95999999999998</v>
      </c>
      <c r="P22" s="110">
        <f t="shared" si="7"/>
        <v>153.98399999999998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6.25</v>
      </c>
      <c r="G23" s="109">
        <f>F23-E23</f>
        <v>-13.75</v>
      </c>
      <c r="H23" s="111">
        <f t="shared" si="1"/>
        <v>31.25</v>
      </c>
      <c r="I23" s="110">
        <f t="shared" si="2"/>
        <v>-53.75</v>
      </c>
      <c r="J23" s="110">
        <f t="shared" si="3"/>
        <v>10.416666666666668</v>
      </c>
      <c r="K23" s="110">
        <f>F23-0</f>
        <v>6.25</v>
      </c>
      <c r="L23" s="110"/>
      <c r="M23" s="111">
        <f t="shared" si="9"/>
        <v>20</v>
      </c>
      <c r="N23" s="111">
        <f t="shared" si="5"/>
        <v>6.25</v>
      </c>
      <c r="O23" s="112">
        <f t="shared" si="6"/>
        <v>-13.75</v>
      </c>
      <c r="P23" s="110">
        <f t="shared" si="7"/>
        <v>31.25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942.96</v>
      </c>
      <c r="G24" s="109">
        <f>F24-E24</f>
        <v>-8507.04</v>
      </c>
      <c r="H24" s="111">
        <f t="shared" si="1"/>
        <v>9.978412698412699</v>
      </c>
      <c r="I24" s="110">
        <f t="shared" si="2"/>
        <v>-28227.04</v>
      </c>
      <c r="J24" s="110">
        <f t="shared" si="3"/>
        <v>3.2326362701405555</v>
      </c>
      <c r="K24" s="142">
        <f>F24-6498.01</f>
        <v>-5555.05</v>
      </c>
      <c r="L24" s="142">
        <f>F24/6498.01*100</f>
        <v>14.511519680640689</v>
      </c>
      <c r="M24" s="111">
        <f t="shared" si="9"/>
        <v>9450</v>
      </c>
      <c r="N24" s="111">
        <f t="shared" si="5"/>
        <v>942.96</v>
      </c>
      <c r="O24" s="112">
        <f t="shared" si="6"/>
        <v>-8507.04</v>
      </c>
      <c r="P24" s="110">
        <f t="shared" si="7"/>
        <v>9.978412698412699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0</v>
      </c>
      <c r="G25" s="36">
        <f>F25-E25</f>
        <v>-12</v>
      </c>
      <c r="H25" s="32">
        <f t="shared" si="1"/>
        <v>0</v>
      </c>
      <c r="I25" s="42">
        <f t="shared" si="2"/>
        <v>-36</v>
      </c>
      <c r="J25" s="42">
        <f t="shared" si="3"/>
        <v>0</v>
      </c>
      <c r="K25" s="132">
        <f>F25-2.4</f>
        <v>-2.4</v>
      </c>
      <c r="L25" s="132">
        <f>F25/2.4*100</f>
        <v>0</v>
      </c>
      <c r="M25" s="32">
        <f t="shared" si="9"/>
        <v>12</v>
      </c>
      <c r="N25" s="32">
        <f t="shared" si="5"/>
        <v>0</v>
      </c>
      <c r="O25" s="40">
        <f t="shared" si="6"/>
        <v>-12</v>
      </c>
      <c r="P25" s="42">
        <f t="shared" si="7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0.62</v>
      </c>
      <c r="G26" s="36">
        <f aca="true" t="shared" si="10" ref="G26:G32">F26-E26</f>
        <v>0.62</v>
      </c>
      <c r="H26" s="32"/>
      <c r="I26" s="42">
        <f t="shared" si="2"/>
        <v>0.62</v>
      </c>
      <c r="J26" s="42"/>
      <c r="K26" s="132">
        <f>F26-142.7</f>
        <v>-142.07999999999998</v>
      </c>
      <c r="L26" s="132">
        <f>F26/142.7*100</f>
        <v>0.4344779257182902</v>
      </c>
      <c r="M26" s="32">
        <f t="shared" si="9"/>
        <v>0</v>
      </c>
      <c r="N26" s="32">
        <f t="shared" si="5"/>
        <v>0.62</v>
      </c>
      <c r="O26" s="40">
        <f t="shared" si="6"/>
        <v>0.62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7393.5</v>
      </c>
      <c r="G27" s="36">
        <f t="shared" si="10"/>
        <v>-1109</v>
      </c>
      <c r="H27" s="32">
        <f t="shared" si="1"/>
        <v>86.95677741840635</v>
      </c>
      <c r="I27" s="42">
        <f t="shared" si="2"/>
        <v>-13414</v>
      </c>
      <c r="J27" s="42">
        <f t="shared" si="3"/>
        <v>35.53286074732668</v>
      </c>
      <c r="K27" s="106">
        <f>F27-8334.48</f>
        <v>-940.9799999999996</v>
      </c>
      <c r="L27" s="106">
        <f>F27/8334.48*100</f>
        <v>88.70979353240995</v>
      </c>
      <c r="M27" s="32">
        <f t="shared" si="9"/>
        <v>8502.5</v>
      </c>
      <c r="N27" s="32">
        <f t="shared" si="5"/>
        <v>7393.5</v>
      </c>
      <c r="O27" s="40">
        <f t="shared" si="6"/>
        <v>-1109</v>
      </c>
      <c r="P27" s="42">
        <f t="shared" si="7"/>
        <v>86.95677741840635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575.41</v>
      </c>
      <c r="G29" s="36">
        <f t="shared" si="10"/>
        <v>-1924.5900000000001</v>
      </c>
      <c r="H29" s="32">
        <f t="shared" si="1"/>
        <v>23.016399999999997</v>
      </c>
      <c r="I29" s="42">
        <f t="shared" si="2"/>
        <v>-5224.59</v>
      </c>
      <c r="J29" s="42">
        <f t="shared" si="3"/>
        <v>9.920862068965516</v>
      </c>
      <c r="K29" s="113">
        <f>F29-22211.27</f>
        <v>-21635.86</v>
      </c>
      <c r="L29" s="113">
        <f>F29/22211.27*100</f>
        <v>2.59062178794819</v>
      </c>
      <c r="M29" s="32">
        <f t="shared" si="9"/>
        <v>2500</v>
      </c>
      <c r="N29" s="32">
        <f t="shared" si="5"/>
        <v>575.41</v>
      </c>
      <c r="O29" s="40">
        <f t="shared" si="6"/>
        <v>-1924.5900000000001</v>
      </c>
      <c r="P29" s="42">
        <f t="shared" si="7"/>
        <v>23.016399999999997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6039.28</v>
      </c>
      <c r="G30" s="36">
        <f t="shared" si="10"/>
        <v>39.279999999999745</v>
      </c>
      <c r="H30" s="32">
        <f t="shared" si="1"/>
        <v>100.65466666666667</v>
      </c>
      <c r="I30" s="42">
        <f t="shared" si="2"/>
        <v>-8960.720000000001</v>
      </c>
      <c r="J30" s="42">
        <f t="shared" si="3"/>
        <v>40.26186666666666</v>
      </c>
      <c r="K30" s="113">
        <f>F30-57105.32</f>
        <v>-51066.04</v>
      </c>
      <c r="L30" s="113">
        <f>F30/57105.32*100</f>
        <v>10.57568716890125</v>
      </c>
      <c r="M30" s="32">
        <f t="shared" si="9"/>
        <v>6000</v>
      </c>
      <c r="N30" s="32">
        <f t="shared" si="5"/>
        <v>6039.28</v>
      </c>
      <c r="O30" s="40">
        <f t="shared" si="6"/>
        <v>39.279999999999745</v>
      </c>
      <c r="P30" s="42">
        <f t="shared" si="7"/>
        <v>100.65466666666667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-0.43</v>
      </c>
      <c r="G31" s="36">
        <f t="shared" si="10"/>
        <v>-2.93</v>
      </c>
      <c r="H31" s="32">
        <f t="shared" si="1"/>
        <v>-17.2</v>
      </c>
      <c r="I31" s="42">
        <f t="shared" si="2"/>
        <v>-7.93</v>
      </c>
      <c r="J31" s="42">
        <f t="shared" si="3"/>
        <v>-5.733333333333333</v>
      </c>
      <c r="K31" s="113">
        <f>F31-0</f>
        <v>-0.43</v>
      </c>
      <c r="L31" s="113"/>
      <c r="M31" s="32">
        <f t="shared" si="9"/>
        <v>2.5</v>
      </c>
      <c r="N31" s="32">
        <f t="shared" si="5"/>
        <v>-0.43</v>
      </c>
      <c r="O31" s="40">
        <f t="shared" si="6"/>
        <v>-2.93</v>
      </c>
      <c r="P31" s="42">
        <f t="shared" si="7"/>
        <v>-17.2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0.77</v>
      </c>
      <c r="G32" s="36">
        <f t="shared" si="10"/>
        <v>-0.42999999999999994</v>
      </c>
      <c r="H32" s="32">
        <f t="shared" si="1"/>
        <v>64.16666666666667</v>
      </c>
      <c r="I32" s="42">
        <f t="shared" si="2"/>
        <v>-2032.13</v>
      </c>
      <c r="J32" s="42">
        <f t="shared" si="3"/>
        <v>0.0378769245904865</v>
      </c>
      <c r="K32" s="132">
        <f>F32-8.89</f>
        <v>-8.120000000000001</v>
      </c>
      <c r="L32" s="132">
        <f>F32/8.89*100</f>
        <v>8.661417322834646</v>
      </c>
      <c r="M32" s="32">
        <f t="shared" si="9"/>
        <v>1.2</v>
      </c>
      <c r="N32" s="32">
        <f t="shared" si="5"/>
        <v>0.77</v>
      </c>
      <c r="O32" s="40">
        <f t="shared" si="6"/>
        <v>-0.42999999999999994</v>
      </c>
      <c r="P32" s="42">
        <f t="shared" si="7"/>
        <v>64.16666666666667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1327.27</v>
      </c>
      <c r="G33" s="37">
        <f>F33-E33</f>
        <v>-988.8299999999999</v>
      </c>
      <c r="H33" s="38">
        <f>F33/E33*100</f>
        <v>57.30624757134839</v>
      </c>
      <c r="I33" s="28">
        <f>F33-D33</f>
        <v>-5632.030000000001</v>
      </c>
      <c r="J33" s="28">
        <f>F33/D33*100</f>
        <v>19.071889414165216</v>
      </c>
      <c r="K33" s="15">
        <f>K34+K35+K36+K37+K38+K44+K45+K50+K51+K55+K41</f>
        <v>304.88999999999993</v>
      </c>
      <c r="L33" s="15"/>
      <c r="M33" s="15">
        <f>M34+M35+M36+M37+M38+M44+M45+M50+M51+M55+M41+M39</f>
        <v>2316.1</v>
      </c>
      <c r="N33" s="15">
        <f>N34+N35+N36+N37+N38+N44+N45+N50+N51+N55+N41+N39</f>
        <v>1327.27</v>
      </c>
      <c r="O33" s="15">
        <f>N33/M33*100</f>
        <v>57.30624757134839</v>
      </c>
      <c r="P33" s="15">
        <f>N33/M33*100</f>
        <v>57.30624757134839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0</v>
      </c>
      <c r="G34" s="36">
        <f>F34-E34</f>
        <v>0</v>
      </c>
      <c r="H34" s="32"/>
      <c r="I34" s="42">
        <f>F34-D34</f>
        <v>-11</v>
      </c>
      <c r="J34" s="42">
        <f>F34/D34*100</f>
        <v>0</v>
      </c>
      <c r="K34" s="42">
        <f>F34-0</f>
        <v>0</v>
      </c>
      <c r="L34" s="42"/>
      <c r="M34" s="32">
        <f>E34</f>
        <v>0</v>
      </c>
      <c r="N34" s="32">
        <f>F34</f>
        <v>0</v>
      </c>
      <c r="O34" s="40">
        <f>N34-M34</f>
        <v>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0</v>
      </c>
      <c r="G36" s="36">
        <f t="shared" si="11"/>
        <v>-2</v>
      </c>
      <c r="H36" s="32">
        <f aca="true" t="shared" si="16" ref="H36:H56">F36/E36*100</f>
        <v>0</v>
      </c>
      <c r="I36" s="42">
        <f t="shared" si="12"/>
        <v>-6</v>
      </c>
      <c r="J36" s="42">
        <f aca="true" t="shared" si="17" ref="J36:J56">F36/D36*100</f>
        <v>0</v>
      </c>
      <c r="K36" s="42">
        <f>F36-1.67</f>
        <v>-1.67</v>
      </c>
      <c r="L36" s="42">
        <f>F36/1.67*100</f>
        <v>0</v>
      </c>
      <c r="M36" s="32">
        <f t="shared" si="13"/>
        <v>2</v>
      </c>
      <c r="N36" s="32">
        <f t="shared" si="14"/>
        <v>0</v>
      </c>
      <c r="O36" s="40">
        <f t="shared" si="15"/>
        <v>-2</v>
      </c>
      <c r="P36" s="42">
        <f aca="true" t="shared" si="18" ref="P36:P56">N36/M36*100</f>
        <v>0</v>
      </c>
      <c r="Q36" s="42">
        <f>N36-4.23</f>
        <v>-4.23</v>
      </c>
      <c r="R36" s="100">
        <f>N36/4.23</f>
        <v>0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-8.12</v>
      </c>
      <c r="G38" s="36">
        <f t="shared" si="11"/>
        <v>-16.119999999999997</v>
      </c>
      <c r="H38" s="32">
        <f t="shared" si="16"/>
        <v>-101.49999999999999</v>
      </c>
      <c r="I38" s="42">
        <f t="shared" si="12"/>
        <v>-32.12</v>
      </c>
      <c r="J38" s="42">
        <f t="shared" si="17"/>
        <v>-33.83333333333333</v>
      </c>
      <c r="K38" s="42">
        <f>F38-7.6</f>
        <v>-15.719999999999999</v>
      </c>
      <c r="L38" s="42">
        <f>F38/7.6*100</f>
        <v>-106.84210526315789</v>
      </c>
      <c r="M38" s="32">
        <f t="shared" si="13"/>
        <v>8</v>
      </c>
      <c r="N38" s="32">
        <f t="shared" si="14"/>
        <v>-8.12</v>
      </c>
      <c r="O38" s="40">
        <f t="shared" si="15"/>
        <v>-16.119999999999997</v>
      </c>
      <c r="P38" s="42">
        <f t="shared" si="18"/>
        <v>-101.49999999999999</v>
      </c>
      <c r="Q38" s="42">
        <f>N38-9.02</f>
        <v>-17.14</v>
      </c>
      <c r="R38" s="100">
        <f>N38/9.02</f>
        <v>-0.9002217294900221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241.89</v>
      </c>
      <c r="G41" s="36">
        <f t="shared" si="11"/>
        <v>-508.11</v>
      </c>
      <c r="H41" s="32">
        <f t="shared" si="16"/>
        <v>32.251999999999995</v>
      </c>
      <c r="I41" s="42">
        <f t="shared" si="12"/>
        <v>-2008.1100000000001</v>
      </c>
      <c r="J41" s="42">
        <f t="shared" si="17"/>
        <v>10.750666666666667</v>
      </c>
      <c r="K41" s="42">
        <f>F41-0</f>
        <v>241.89</v>
      </c>
      <c r="L41" s="42"/>
      <c r="M41" s="32">
        <f t="shared" si="13"/>
        <v>750</v>
      </c>
      <c r="N41" s="32">
        <f t="shared" si="14"/>
        <v>241.89</v>
      </c>
      <c r="O41" s="40">
        <f t="shared" si="15"/>
        <v>-508.11</v>
      </c>
      <c r="P41" s="42">
        <f t="shared" si="18"/>
        <v>32.251999999999995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0.86</v>
      </c>
      <c r="G42" s="36">
        <f t="shared" si="11"/>
        <v>0.86</v>
      </c>
      <c r="H42" s="32"/>
      <c r="I42" s="42">
        <f t="shared" si="12"/>
        <v>0.86</v>
      </c>
      <c r="J42" s="42"/>
      <c r="K42" s="42"/>
      <c r="L42" s="42"/>
      <c r="M42" s="32">
        <f t="shared" si="13"/>
        <v>0</v>
      </c>
      <c r="N42" s="32">
        <f t="shared" si="14"/>
        <v>0.86</v>
      </c>
      <c r="O42" s="40">
        <f t="shared" si="15"/>
        <v>0.86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187.82</v>
      </c>
      <c r="G45" s="36">
        <f t="shared" si="11"/>
        <v>-318.28000000000003</v>
      </c>
      <c r="H45" s="32">
        <f t="shared" si="16"/>
        <v>37.11124283738391</v>
      </c>
      <c r="I45" s="42">
        <f t="shared" si="12"/>
        <v>-1330.48</v>
      </c>
      <c r="J45" s="42">
        <f t="shared" si="17"/>
        <v>12.370414279127973</v>
      </c>
      <c r="K45" s="42">
        <f>F45-59.21</f>
        <v>128.60999999999999</v>
      </c>
      <c r="L45" s="42">
        <f>F45/59.21*100</f>
        <v>317.20993075494005</v>
      </c>
      <c r="M45" s="32">
        <f t="shared" si="13"/>
        <v>506.1</v>
      </c>
      <c r="N45" s="32">
        <f t="shared" si="14"/>
        <v>187.82</v>
      </c>
      <c r="O45" s="40">
        <f t="shared" si="15"/>
        <v>-318.28000000000003</v>
      </c>
      <c r="P45" s="42">
        <f t="shared" si="18"/>
        <v>37.11124283738391</v>
      </c>
      <c r="Q45" s="42">
        <f>N45-79.51</f>
        <v>108.30999999999999</v>
      </c>
      <c r="R45" s="100">
        <f>N45/79.51</f>
        <v>2.3622185888567473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15.51</v>
      </c>
      <c r="G46" s="36">
        <f t="shared" si="11"/>
        <v>-39.49</v>
      </c>
      <c r="H46" s="32">
        <f t="shared" si="16"/>
        <v>28.199999999999996</v>
      </c>
      <c r="I46" s="42">
        <f t="shared" si="12"/>
        <v>-149.49</v>
      </c>
      <c r="J46" s="42">
        <f t="shared" si="17"/>
        <v>9.4</v>
      </c>
      <c r="K46" s="110">
        <f>F46-857.86</f>
        <v>-842.35</v>
      </c>
      <c r="L46" s="110">
        <f>F46/857.86*100</f>
        <v>1.8079873172778773</v>
      </c>
      <c r="M46" s="32">
        <f t="shared" si="13"/>
        <v>55</v>
      </c>
      <c r="N46" s="32">
        <f t="shared" si="14"/>
        <v>15.51</v>
      </c>
      <c r="O46" s="40">
        <f t="shared" si="15"/>
        <v>-39.49</v>
      </c>
      <c r="P46" s="42">
        <f t="shared" si="18"/>
        <v>28.199999999999996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</v>
      </c>
      <c r="G47" s="36">
        <f t="shared" si="11"/>
        <v>-1</v>
      </c>
      <c r="H47" s="32">
        <f t="shared" si="16"/>
        <v>0</v>
      </c>
      <c r="I47" s="42">
        <f t="shared" si="12"/>
        <v>-3</v>
      </c>
      <c r="J47" s="42">
        <f t="shared" si="17"/>
        <v>0</v>
      </c>
      <c r="K47" s="110">
        <f>F47-0</f>
        <v>0</v>
      </c>
      <c r="L47" s="110"/>
      <c r="M47" s="32">
        <f t="shared" si="13"/>
        <v>1</v>
      </c>
      <c r="N47" s="32">
        <f t="shared" si="14"/>
        <v>0</v>
      </c>
      <c r="O47" s="40">
        <f t="shared" si="15"/>
        <v>-1</v>
      </c>
      <c r="P47" s="42">
        <f t="shared" si="18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172.31</v>
      </c>
      <c r="G49" s="36">
        <f t="shared" si="11"/>
        <v>-277.69</v>
      </c>
      <c r="H49" s="32">
        <f t="shared" si="16"/>
        <v>38.29111111111111</v>
      </c>
      <c r="I49" s="42">
        <f t="shared" si="12"/>
        <v>-1177.69</v>
      </c>
      <c r="J49" s="42">
        <f t="shared" si="17"/>
        <v>12.763703703703705</v>
      </c>
      <c r="K49" s="110">
        <f>F49-117.58</f>
        <v>54.730000000000004</v>
      </c>
      <c r="L49" s="110">
        <f>F49/117.58*100</f>
        <v>146.54703180813064</v>
      </c>
      <c r="M49" s="32">
        <f t="shared" si="13"/>
        <v>450</v>
      </c>
      <c r="N49" s="32">
        <f t="shared" si="14"/>
        <v>172.31</v>
      </c>
      <c r="O49" s="40">
        <f t="shared" si="15"/>
        <v>-277.69</v>
      </c>
      <c r="P49" s="42">
        <f t="shared" si="18"/>
        <v>38.29111111111111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</v>
      </c>
      <c r="G50" s="36">
        <f t="shared" si="11"/>
        <v>0</v>
      </c>
      <c r="H50" s="32"/>
      <c r="I50" s="42">
        <f t="shared" si="12"/>
        <v>0</v>
      </c>
      <c r="J50" s="42"/>
      <c r="K50" s="42">
        <f>F50-0</f>
        <v>0</v>
      </c>
      <c r="L50" s="42"/>
      <c r="M50" s="32">
        <f t="shared" si="13"/>
        <v>0</v>
      </c>
      <c r="N50" s="32">
        <f t="shared" si="14"/>
        <v>0</v>
      </c>
      <c r="O50" s="40">
        <f t="shared" si="15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189.45</v>
      </c>
      <c r="G51" s="36">
        <f t="shared" si="11"/>
        <v>-160.55</v>
      </c>
      <c r="H51" s="32">
        <f t="shared" si="16"/>
        <v>54.128571428571426</v>
      </c>
      <c r="I51" s="42">
        <f t="shared" si="12"/>
        <v>-860.55</v>
      </c>
      <c r="J51" s="42">
        <f t="shared" si="17"/>
        <v>18.04285714285714</v>
      </c>
      <c r="K51" s="42">
        <f>F51-263.2</f>
        <v>-73.75</v>
      </c>
      <c r="L51" s="42">
        <f>F51/3812.69*100</f>
        <v>4.968932695813192</v>
      </c>
      <c r="M51" s="32">
        <f t="shared" si="13"/>
        <v>350</v>
      </c>
      <c r="N51" s="32">
        <f t="shared" si="14"/>
        <v>189.45</v>
      </c>
      <c r="O51" s="40">
        <f t="shared" si="15"/>
        <v>-160.55</v>
      </c>
      <c r="P51" s="42">
        <f t="shared" si="18"/>
        <v>54.128571428571426</v>
      </c>
      <c r="Q51" s="42">
        <f>N51-277.38</f>
        <v>-87.93</v>
      </c>
      <c r="R51" s="100">
        <f>N51/277.38</f>
        <v>0.6829980532121999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55.6</v>
      </c>
      <c r="G53" s="36">
        <f t="shared" si="11"/>
        <v>55.6</v>
      </c>
      <c r="H53" s="32"/>
      <c r="I53" s="42">
        <f t="shared" si="12"/>
        <v>55.6</v>
      </c>
      <c r="J53" s="42"/>
      <c r="K53" s="112">
        <f>F53-82.7</f>
        <v>-27.1</v>
      </c>
      <c r="L53" s="112">
        <f>F53/82.7*100</f>
        <v>67.23095525997581</v>
      </c>
      <c r="M53" s="32">
        <f t="shared" si="13"/>
        <v>0</v>
      </c>
      <c r="N53" s="32">
        <f t="shared" si="14"/>
        <v>55.6</v>
      </c>
      <c r="O53" s="40">
        <f t="shared" si="15"/>
        <v>55.6</v>
      </c>
      <c r="P53" s="42"/>
      <c r="Q53" s="42">
        <f>N53-64.93</f>
        <v>-9.330000000000005</v>
      </c>
      <c r="R53" s="100">
        <f>N53/64.93</f>
        <v>0.8563067919297704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0</v>
      </c>
      <c r="G55" s="36">
        <f t="shared" si="11"/>
        <v>0</v>
      </c>
      <c r="H55" s="32"/>
      <c r="I55" s="42">
        <f t="shared" si="12"/>
        <v>0</v>
      </c>
      <c r="J55" s="42"/>
      <c r="K55" s="42">
        <f>F55-0</f>
        <v>0</v>
      </c>
      <c r="L55" s="42"/>
      <c r="M55" s="32">
        <f t="shared" si="13"/>
        <v>0</v>
      </c>
      <c r="N55" s="32">
        <f t="shared" si="14"/>
        <v>0</v>
      </c>
      <c r="O55" s="40">
        <f t="shared" si="15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0</v>
      </c>
      <c r="G56" s="36">
        <f t="shared" si="11"/>
        <v>-1</v>
      </c>
      <c r="H56" s="32">
        <f t="shared" si="16"/>
        <v>0</v>
      </c>
      <c r="I56" s="42">
        <f t="shared" si="12"/>
        <v>-3</v>
      </c>
      <c r="J56" s="42">
        <f t="shared" si="17"/>
        <v>0</v>
      </c>
      <c r="K56" s="42">
        <f>F56-1.8</f>
        <v>-1.8</v>
      </c>
      <c r="L56" s="42">
        <f>F56/1.8*100</f>
        <v>0</v>
      </c>
      <c r="M56" s="32">
        <f t="shared" si="13"/>
        <v>1</v>
      </c>
      <c r="N56" s="32">
        <f t="shared" si="14"/>
        <v>0</v>
      </c>
      <c r="O56" s="40">
        <f t="shared" si="15"/>
        <v>-1</v>
      </c>
      <c r="P56" s="42">
        <f t="shared" si="1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162278.69999999998</v>
      </c>
      <c r="E58" s="15">
        <f>E8+E33+E56+E57</f>
        <v>54332.799999999996</v>
      </c>
      <c r="F58" s="15">
        <f>F8+F33+F56+F57</f>
        <v>22141.000000000004</v>
      </c>
      <c r="G58" s="37">
        <f>F58-E58</f>
        <v>-32191.799999999992</v>
      </c>
      <c r="H58" s="38">
        <f>F58/E58*100</f>
        <v>40.75070675540374</v>
      </c>
      <c r="I58" s="28">
        <f>F58-D58</f>
        <v>-140137.69999999998</v>
      </c>
      <c r="J58" s="28">
        <f>F58/D58*100</f>
        <v>13.643811541502371</v>
      </c>
      <c r="K58" s="28">
        <f>K8+K33+K56+K57</f>
        <v>-16598.37</v>
      </c>
      <c r="L58" s="28">
        <f>F58/38738.5*100</f>
        <v>57.15502665307124</v>
      </c>
      <c r="M58" s="15">
        <f>M8+M33+M56+M57</f>
        <v>54332.799999999996</v>
      </c>
      <c r="N58" s="15">
        <f>N8+N33+N56+N57</f>
        <v>22140.140000000003</v>
      </c>
      <c r="O58" s="41">
        <f>N58-M58</f>
        <v>-32192.659999999993</v>
      </c>
      <c r="P58" s="28">
        <f>N58/M58*100</f>
        <v>40.7491239177808</v>
      </c>
      <c r="Q58" s="28">
        <f>N58-34768</f>
        <v>-12627.859999999997</v>
      </c>
      <c r="R58" s="128">
        <f>N58/34768</f>
        <v>0.6367964795213991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15.6</v>
      </c>
      <c r="G63" s="36"/>
      <c r="H63" s="32"/>
      <c r="I63" s="43"/>
      <c r="J63" s="43"/>
      <c r="K63" s="43"/>
      <c r="L63" s="43"/>
      <c r="M63" s="33"/>
      <c r="N63" s="33">
        <f>F63</f>
        <v>15.6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15.33</v>
      </c>
      <c r="G65" s="45">
        <f>F65-E65</f>
        <v>15.33</v>
      </c>
      <c r="H65" s="52"/>
      <c r="I65" s="44">
        <f>F65-D65</f>
        <v>15.33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15.33</v>
      </c>
      <c r="O65" s="44">
        <f>N65-M65</f>
        <v>15.33</v>
      </c>
      <c r="P65" s="44"/>
      <c r="Q65" s="44">
        <f>N65-92.85</f>
        <v>-77.52</v>
      </c>
      <c r="R65" s="104">
        <f>N65/92.85</f>
        <v>0.16510500807754444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0.02</v>
      </c>
      <c r="G67" s="36">
        <f aca="true" t="shared" si="19" ref="G67:G76">F67-E67</f>
        <v>0.02</v>
      </c>
      <c r="H67" s="32"/>
      <c r="I67" s="43">
        <f aca="true" t="shared" si="20" ref="I67:I76">F67-D67</f>
        <v>0.02</v>
      </c>
      <c r="J67" s="43"/>
      <c r="K67" s="43">
        <f>F67-0.03</f>
        <v>-0.009999999999999998</v>
      </c>
      <c r="L67" s="43">
        <f>F67/0.03*100</f>
        <v>66.66666666666667</v>
      </c>
      <c r="M67" s="32">
        <f>E67</f>
        <v>0</v>
      </c>
      <c r="N67" s="32">
        <f>F67</f>
        <v>0.02</v>
      </c>
      <c r="O67" s="40">
        <f aca="true" t="shared" si="21" ref="O67:O79">N67-M67</f>
        <v>0.02</v>
      </c>
      <c r="P67" s="43"/>
      <c r="Q67" s="43">
        <f>N67-0.04</f>
        <v>-0.02</v>
      </c>
      <c r="R67" s="103">
        <f>N67/0.04</f>
        <v>0.5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0</v>
      </c>
      <c r="G68" s="36">
        <f t="shared" si="19"/>
        <v>0</v>
      </c>
      <c r="H68" s="32"/>
      <c r="I68" s="43">
        <f t="shared" si="20"/>
        <v>0</v>
      </c>
      <c r="J68" s="43"/>
      <c r="K68" s="43">
        <f>F68-259.69</f>
        <v>-259.69</v>
      </c>
      <c r="L68" s="43">
        <f>F68/259.69*100</f>
        <v>0</v>
      </c>
      <c r="M68" s="32">
        <f>E68</f>
        <v>0</v>
      </c>
      <c r="N68" s="32">
        <f>F68</f>
        <v>0</v>
      </c>
      <c r="O68" s="40">
        <f t="shared" si="21"/>
        <v>0</v>
      </c>
      <c r="P68" s="43"/>
      <c r="Q68" s="43">
        <f>N68-450.01</f>
        <v>-450.01</v>
      </c>
      <c r="R68" s="103">
        <f>N68/450.01</f>
        <v>0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2.72</v>
      </c>
      <c r="G69" s="36">
        <f t="shared" si="19"/>
        <v>2.72</v>
      </c>
      <c r="H69" s="32"/>
      <c r="I69" s="43">
        <f t="shared" si="20"/>
        <v>2.72</v>
      </c>
      <c r="J69" s="43"/>
      <c r="K69" s="43">
        <f>F69-(-16.04)</f>
        <v>18.759999999999998</v>
      </c>
      <c r="L69" s="43">
        <f>F69/(-16.04)*100</f>
        <v>-16.957605985037407</v>
      </c>
      <c r="M69" s="32">
        <f>E69</f>
        <v>0</v>
      </c>
      <c r="N69" s="32">
        <f>F69</f>
        <v>2.72</v>
      </c>
      <c r="O69" s="40">
        <f t="shared" si="21"/>
        <v>2.72</v>
      </c>
      <c r="P69" s="43"/>
      <c r="Q69" s="43">
        <f>N69-1.05</f>
        <v>1.6700000000000002</v>
      </c>
      <c r="R69" s="103">
        <f>N69/1.05</f>
        <v>2.5904761904761906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3.74</v>
      </c>
      <c r="G71" s="45">
        <f t="shared" si="19"/>
        <v>3.74</v>
      </c>
      <c r="H71" s="52"/>
      <c r="I71" s="44">
        <f t="shared" si="20"/>
        <v>3.74</v>
      </c>
      <c r="J71" s="44"/>
      <c r="K71" s="44">
        <f>K67+K68+K69</f>
        <v>-240.94</v>
      </c>
      <c r="L71" s="44">
        <f>F71/243.68*100</f>
        <v>1.5347997373604727</v>
      </c>
      <c r="M71" s="45">
        <f>M67+M68+M69</f>
        <v>0</v>
      </c>
      <c r="N71" s="45">
        <f>N67+N68+N69</f>
        <v>2.74</v>
      </c>
      <c r="O71" s="44">
        <f t="shared" si="21"/>
        <v>2.74</v>
      </c>
      <c r="P71" s="44"/>
      <c r="Q71" s="44">
        <f>N71-7985.28</f>
        <v>-7982.54</v>
      </c>
      <c r="R71" s="129">
        <f>N71/7985.28</f>
        <v>0.00034313136170553823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</v>
      </c>
      <c r="G76" s="36">
        <f t="shared" si="19"/>
        <v>0</v>
      </c>
      <c r="H76" s="32"/>
      <c r="I76" s="43">
        <f t="shared" si="20"/>
        <v>0</v>
      </c>
      <c r="J76" s="43"/>
      <c r="K76" s="43">
        <f>F76-0.59</f>
        <v>-0.59</v>
      </c>
      <c r="L76" s="43">
        <f>F76/0.59*100</f>
        <v>0</v>
      </c>
      <c r="M76" s="32">
        <f>E76</f>
        <v>0</v>
      </c>
      <c r="N76" s="32">
        <f>F76</f>
        <v>0</v>
      </c>
      <c r="O76" s="40">
        <f t="shared" si="21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19.07</v>
      </c>
      <c r="G78" s="37">
        <f>F78-E78</f>
        <v>19.07</v>
      </c>
      <c r="H78" s="38"/>
      <c r="I78" s="28">
        <f>F78-D78</f>
        <v>19.07</v>
      </c>
      <c r="J78" s="28"/>
      <c r="K78" s="28">
        <f>K65+K71+K75+K76</f>
        <v>-246.36999999999998</v>
      </c>
      <c r="L78" s="28">
        <f>F78/248.84*100</f>
        <v>7.6635589133579805</v>
      </c>
      <c r="M78" s="24">
        <f>M65+M76+M71+M75</f>
        <v>0</v>
      </c>
      <c r="N78" s="24">
        <f>N65+N76+N71+N75+N77</f>
        <v>18.07</v>
      </c>
      <c r="O78" s="28">
        <f t="shared" si="21"/>
        <v>18.07</v>
      </c>
      <c r="P78" s="28"/>
      <c r="Q78" s="28">
        <f>N78-8104.96</f>
        <v>-8086.89</v>
      </c>
      <c r="R78" s="101">
        <f>N78/8104.96</f>
        <v>0.0022294989734680986</v>
      </c>
    </row>
    <row r="79" spans="2:18" ht="17.25">
      <c r="B79" s="21" t="s">
        <v>33</v>
      </c>
      <c r="C79" s="71"/>
      <c r="D79" s="24">
        <f>D58+D78</f>
        <v>162278.69999999998</v>
      </c>
      <c r="E79" s="24">
        <f>E58+E78</f>
        <v>54332.799999999996</v>
      </c>
      <c r="F79" s="24">
        <f>F58+F78</f>
        <v>22160.070000000003</v>
      </c>
      <c r="G79" s="37">
        <f>F79-E79</f>
        <v>-32172.729999999992</v>
      </c>
      <c r="H79" s="38">
        <f>F79/E79*100</f>
        <v>40.78580525943814</v>
      </c>
      <c r="I79" s="28">
        <f>F79-D79</f>
        <v>-140118.62999999998</v>
      </c>
      <c r="J79" s="28">
        <f>F79/D79*100</f>
        <v>13.655562929700574</v>
      </c>
      <c r="K79" s="28">
        <f>K58+K78</f>
        <v>-16844.739999999998</v>
      </c>
      <c r="L79" s="28">
        <f>F79/38987.36*100</f>
        <v>56.83911401028436</v>
      </c>
      <c r="M79" s="15">
        <f>M58+M78</f>
        <v>54332.799999999996</v>
      </c>
      <c r="N79" s="15">
        <f>N58+N78</f>
        <v>22158.210000000003</v>
      </c>
      <c r="O79" s="28">
        <f t="shared" si="21"/>
        <v>-32174.589999999993</v>
      </c>
      <c r="P79" s="28">
        <f>N79/M79*100</f>
        <v>40.7823819129513</v>
      </c>
      <c r="Q79" s="28">
        <f>N79-42872.96</f>
        <v>-20714.749999999996</v>
      </c>
      <c r="R79" s="101">
        <f>N79/42872.96</f>
        <v>0.5168341537416592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9</v>
      </c>
      <c r="D81" s="4" t="s">
        <v>36</v>
      </c>
    </row>
    <row r="82" spans="2:17" ht="30.75">
      <c r="B82" s="57" t="s">
        <v>54</v>
      </c>
      <c r="C82" s="31">
        <f>IF(O58&lt;0,ABS(O58/C81),0)</f>
        <v>3576.9622222222215</v>
      </c>
      <c r="D82" s="4" t="s">
        <v>24</v>
      </c>
      <c r="G82" s="175"/>
      <c r="H82" s="175"/>
      <c r="I82" s="175"/>
      <c r="J82" s="175"/>
      <c r="K82" s="90"/>
      <c r="L82" s="90"/>
      <c r="P82" s="26"/>
      <c r="Q82" s="26"/>
    </row>
    <row r="83" spans="2:15" ht="34.5" customHeight="1">
      <c r="B83" s="58" t="s">
        <v>56</v>
      </c>
      <c r="C83" s="87">
        <v>42387</v>
      </c>
      <c r="D83" s="31">
        <v>1694.1</v>
      </c>
      <c r="G83" s="4" t="s">
        <v>59</v>
      </c>
      <c r="N83" s="176"/>
      <c r="O83" s="176"/>
    </row>
    <row r="84" spans="3:15" ht="15">
      <c r="C84" s="87">
        <v>42385</v>
      </c>
      <c r="D84" s="31">
        <v>2462.2</v>
      </c>
      <c r="F84" s="124" t="s">
        <v>59</v>
      </c>
      <c r="G84" s="177"/>
      <c r="H84" s="177"/>
      <c r="I84" s="131"/>
      <c r="J84" s="178"/>
      <c r="K84" s="178"/>
      <c r="L84" s="178"/>
      <c r="M84" s="178"/>
      <c r="N84" s="176"/>
      <c r="O84" s="176"/>
    </row>
    <row r="85" spans="3:15" ht="15.75" customHeight="1">
      <c r="C85" s="87">
        <v>42384</v>
      </c>
      <c r="D85" s="31">
        <v>3444.4</v>
      </c>
      <c r="F85" s="73"/>
      <c r="G85" s="177"/>
      <c r="H85" s="177"/>
      <c r="I85" s="131"/>
      <c r="J85" s="181"/>
      <c r="K85" s="181"/>
      <c r="L85" s="181"/>
      <c r="M85" s="181"/>
      <c r="N85" s="176"/>
      <c r="O85" s="176"/>
    </row>
    <row r="86" spans="3:13" ht="15.75" customHeight="1">
      <c r="C86" s="87"/>
      <c r="F86" s="73"/>
      <c r="G86" s="182"/>
      <c r="H86" s="182"/>
      <c r="I86" s="139"/>
      <c r="J86" s="178"/>
      <c r="K86" s="178"/>
      <c r="L86" s="178"/>
      <c r="M86" s="178"/>
    </row>
    <row r="87" spans="2:13" ht="18.75" customHeight="1">
      <c r="B87" s="183" t="s">
        <v>57</v>
      </c>
      <c r="C87" s="184"/>
      <c r="D87" s="148">
        <v>58548.34854</v>
      </c>
      <c r="E87" s="74"/>
      <c r="F87" s="140"/>
      <c r="G87" s="177"/>
      <c r="H87" s="177"/>
      <c r="I87" s="141"/>
      <c r="J87" s="178"/>
      <c r="K87" s="178"/>
      <c r="L87" s="178"/>
      <c r="M87" s="178"/>
    </row>
    <row r="88" spans="6:12" ht="9.75" customHeight="1">
      <c r="F88" s="73"/>
      <c r="G88" s="177"/>
      <c r="H88" s="177"/>
      <c r="I88" s="73"/>
      <c r="J88" s="74"/>
      <c r="K88" s="74"/>
      <c r="L88" s="74"/>
    </row>
    <row r="89" spans="2:12" ht="22.5" customHeight="1" hidden="1">
      <c r="B89" s="185" t="s">
        <v>60</v>
      </c>
      <c r="C89" s="186"/>
      <c r="D89" s="86">
        <v>0</v>
      </c>
      <c r="E89" s="56" t="s">
        <v>24</v>
      </c>
      <c r="F89" s="73"/>
      <c r="G89" s="177"/>
      <c r="H89" s="177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77"/>
      <c r="O90" s="177"/>
    </row>
    <row r="91" spans="4:15" ht="15">
      <c r="D91" s="83"/>
      <c r="I91" s="31"/>
      <c r="N91" s="187"/>
      <c r="O91" s="187"/>
    </row>
    <row r="92" spans="14:15" ht="15">
      <c r="N92" s="177"/>
      <c r="O92" s="177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2016-01-19T14:21:39Z</cp:lastPrinted>
  <dcterms:created xsi:type="dcterms:W3CDTF">2003-07-28T11:27:56Z</dcterms:created>
  <dcterms:modified xsi:type="dcterms:W3CDTF">2016-01-19T14:41:05Z</dcterms:modified>
  <cp:category/>
  <cp:version/>
  <cp:contentType/>
  <cp:contentStatus/>
</cp:coreProperties>
</file>